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https://d.docs.live.net/a179864d23e9d3c2/Downloads/"/>
    </mc:Choice>
  </mc:AlternateContent>
  <xr:revisionPtr revIDLastSave="0" documentId="8_{35ED440E-873E-4683-BE20-2CC54E01DEDE}" xr6:coauthVersionLast="47" xr6:coauthVersionMax="47" xr10:uidLastSave="{00000000-0000-0000-0000-000000000000}"/>
  <bookViews>
    <workbookView xWindow="-120" yWindow="-120" windowWidth="29040" windowHeight="15720" xr2:uid="{1E2264AD-0AD5-4132-82A1-ACA1A95750E6}"/>
  </bookViews>
  <sheets>
    <sheet name="Input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H29" i="1" l="1"/>
  <c r="H31" i="1" s="1"/>
  <c r="H33" i="1" s="1"/>
  <c r="F61" i="1"/>
  <c r="D61" i="1"/>
  <c r="B61" i="1"/>
  <c r="F60" i="1"/>
  <c r="E60" i="1"/>
  <c r="D60" i="1"/>
  <c r="B60" i="1"/>
  <c r="F59" i="1"/>
  <c r="F58" i="1"/>
  <c r="E58" i="1"/>
  <c r="D58" i="1"/>
  <c r="C58" i="1"/>
  <c r="E57" i="1"/>
  <c r="D57" i="1"/>
  <c r="C57" i="1"/>
  <c r="B57" i="1"/>
  <c r="G57" i="1" s="1"/>
  <c r="B51" i="1"/>
  <c r="B52" i="1" s="1"/>
  <c r="H46" i="1"/>
  <c r="E46" i="1"/>
  <c r="F46" i="1" s="1"/>
  <c r="H45" i="1"/>
  <c r="H44" i="1"/>
  <c r="H43" i="1"/>
  <c r="E43" i="1"/>
  <c r="F43" i="1" s="1"/>
  <c r="H42" i="1"/>
  <c r="E42" i="1"/>
  <c r="B37" i="1"/>
  <c r="B36" i="1" s="1"/>
  <c r="B59" i="1" s="1"/>
  <c r="B32" i="1"/>
  <c r="F57" i="1" s="1"/>
  <c r="E31" i="1"/>
  <c r="E30" i="1"/>
  <c r="E23" i="1" s="1"/>
  <c r="E61" i="1" s="1"/>
  <c r="E17" i="1"/>
  <c r="C59" i="1" s="1"/>
  <c r="E16" i="1" a="1"/>
  <c r="E16" i="1" s="1"/>
  <c r="E11" i="1" s="1"/>
  <c r="E59" i="1" s="1"/>
  <c r="H14" i="1"/>
  <c r="H13" i="1"/>
  <c r="H12" i="1"/>
  <c r="H11" i="1"/>
  <c r="H10" i="1"/>
  <c r="E10" i="1"/>
  <c r="H9" i="1"/>
  <c r="H7" i="1"/>
  <c r="H8" i="1" s="1"/>
  <c r="E45" i="1" s="1"/>
  <c r="F45" i="1" s="1"/>
  <c r="H6" i="1"/>
  <c r="H5" i="1"/>
  <c r="E44" i="1" s="1"/>
  <c r="F44" i="1" s="1"/>
  <c r="E5" i="1"/>
  <c r="D59" i="1" s="1"/>
  <c r="H4" i="1"/>
  <c r="H15" i="1" l="1"/>
  <c r="C60" i="1" s="1"/>
  <c r="G60" i="1" s="1"/>
  <c r="B53" i="1"/>
  <c r="H16" i="1"/>
  <c r="J57" i="1"/>
  <c r="H57" i="1"/>
  <c r="G59" i="1"/>
  <c r="B49" i="1"/>
  <c r="B50" i="1" s="1"/>
  <c r="F42" i="1"/>
  <c r="B58" i="1"/>
  <c r="G58" i="1" s="1"/>
  <c r="H21" i="1" s="1"/>
  <c r="C61" i="1"/>
  <c r="G61" i="1" s="1"/>
  <c r="H20" i="1" l="1"/>
  <c r="J61" i="1"/>
  <c r="H61" i="1"/>
  <c r="H22" i="1"/>
  <c r="B65" i="1"/>
  <c r="H18" i="1"/>
  <c r="H59" i="1"/>
  <c r="J59" i="1"/>
  <c r="J58" i="1"/>
  <c r="H58" i="1"/>
  <c r="H17" i="1"/>
  <c r="H19" i="1"/>
  <c r="J60" i="1"/>
  <c r="H60" i="1"/>
  <c r="B66" i="1" l="1"/>
  <c r="B69" i="1" s="1"/>
  <c r="H24" i="1"/>
  <c r="B68" i="1" s="1"/>
  <c r="H23" i="1"/>
  <c r="B6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<sst xmlns="http://schemas.openxmlformats.org/spreadsheetml/2006/main" count="198" uniqueCount="177">
  <si>
    <t>Morning Inputs &amp; Auto-Scoring</t>
  </si>
  <si>
    <t>User Inputs</t>
  </si>
  <si>
    <t>Auto-Calculated Levels + Levels</t>
  </si>
  <si>
    <t>Date</t>
  </si>
  <si>
    <t>Market Open Evaluation Price (10:00)</t>
  </si>
  <si>
    <t>Overnight Range</t>
  </si>
  <si>
    <t>Contract / Market</t>
  </si>
  <si>
    <t>MES</t>
  </si>
  <si>
    <t>Breakout Volume Expansion</t>
  </si>
  <si>
    <t>Upper Quartile (75%)</t>
  </si>
  <si>
    <t>Premarket Price Levels</t>
  </si>
  <si>
    <t>Breakout Volume</t>
  </si>
  <si>
    <t>Lower Quartile (25%)</t>
  </si>
  <si>
    <t>Premarket High (PMH)</t>
  </si>
  <si>
    <t>Prior Candle 1 Volume</t>
  </si>
  <si>
    <t>Move into Open Range</t>
  </si>
  <si>
    <t>Premarket Low (PML)</t>
  </si>
  <si>
    <t>Prior Candle 2 Volume</t>
  </si>
  <si>
    <t>Move as % of Range</t>
  </si>
  <si>
    <t>Previous Day High (PDH)</t>
  </si>
  <si>
    <t>Prior Candle 3 Volume</t>
  </si>
  <si>
    <t>PMH 10%</t>
  </si>
  <si>
    <t>Previous Day Low (PDL)</t>
  </si>
  <si>
    <t>Average Volume Prior</t>
  </si>
  <si>
    <t>PML 10%</t>
  </si>
  <si>
    <t>Previous Day Close</t>
  </si>
  <si>
    <t>Breakout Range Expansion</t>
  </si>
  <si>
    <t>30-Min Opening Range Size</t>
  </si>
  <si>
    <t>Premarket Evaluation Price (9:20-9:29)</t>
  </si>
  <si>
    <t>Breakout Range</t>
  </si>
  <si>
    <t>Open vs Prior Close</t>
  </si>
  <si>
    <t>9:00 Price</t>
  </si>
  <si>
    <t>Prior Candle 1 Range</t>
  </si>
  <si>
    <t>Opened Outside Prior Day Range?</t>
  </si>
  <si>
    <t>9:29 Price</t>
  </si>
  <si>
    <t>Prior Candle 2 Range</t>
  </si>
  <si>
    <t>Trend-Side VWAP Alignment?</t>
  </si>
  <si>
    <t>Green 1m Candles in Last 6 min</t>
  </si>
  <si>
    <t>Prior Candle 3 Range</t>
  </si>
  <si>
    <t>Gap Direction Aligns with Premarket Bias?</t>
  </si>
  <si>
    <t>Red 1m Candles in Last 6 min</t>
  </si>
  <si>
    <t>Average Range Prior</t>
  </si>
  <si>
    <t>Trend Day Auto Score</t>
  </si>
  <si>
    <t>Trend Structure Read</t>
  </si>
  <si>
    <t>Bearish</t>
  </si>
  <si>
    <t>OR / Compression Break and Hold</t>
  </si>
  <si>
    <t>Range Day Auto Score</t>
  </si>
  <si>
    <t>Catalyst Read</t>
  </si>
  <si>
    <t>Neutral</t>
  </si>
  <si>
    <t>Breakout / Expansion Auto Score</t>
  </si>
  <si>
    <t>Candle 1 and Candle 2 did reenter price</t>
  </si>
  <si>
    <t>No</t>
  </si>
  <si>
    <t>Gap &amp; Go Auto Score</t>
  </si>
  <si>
    <t>Open Price</t>
  </si>
  <si>
    <t>Candle 1 and Candle Hold 50%</t>
  </si>
  <si>
    <t>Yes</t>
  </si>
  <si>
    <t>Gap &amp; Fade Auto Score</t>
  </si>
  <si>
    <t>30-Min Opening Range High</t>
  </si>
  <si>
    <t>Re-entry to Prior Day Range in First 10m</t>
  </si>
  <si>
    <t>Highest Final Score</t>
  </si>
  <si>
    <t>30-Min Opening Range Low</t>
  </si>
  <si>
    <t>Gap Context at Open</t>
  </si>
  <si>
    <t>Gap Down</t>
  </si>
  <si>
    <t>Final Day Type</t>
  </si>
  <si>
    <t>15-min Opening Range High</t>
  </si>
  <si>
    <t>Reversal Candle at Extreme</t>
  </si>
  <si>
    <t>Recommended Strategy Focus</t>
  </si>
  <si>
    <t>15-min Opening Range Low</t>
  </si>
  <si>
    <t>Candle Forms at Key Extreme</t>
  </si>
  <si>
    <t>Avoid</t>
  </si>
  <si>
    <t>VWAP Slope</t>
  </si>
  <si>
    <t>Bullish</t>
  </si>
  <si>
    <t>Candle Close Away from Extreme</t>
  </si>
  <si>
    <t xml:space="preserve">  </t>
  </si>
  <si>
    <t>Price vs VWAP</t>
  </si>
  <si>
    <t>Above</t>
  </si>
  <si>
    <t>Candle High</t>
  </si>
  <si>
    <t>VWAP Crossings Count (1 min)</t>
  </si>
  <si>
    <t>Candle Low</t>
  </si>
  <si>
    <t>5m Candles on One Side of VWAP</t>
  </si>
  <si>
    <t>Wick High</t>
  </si>
  <si>
    <t>Early Structure</t>
  </si>
  <si>
    <t>Bullish Trend</t>
  </si>
  <si>
    <t>Wick Low</t>
  </si>
  <si>
    <t>Return to VWAP After Initial Move</t>
  </si>
  <si>
    <t>Multiple</t>
  </si>
  <si>
    <t>Wick %</t>
  </si>
  <si>
    <t>Low Overlap Condition</t>
  </si>
  <si>
    <t>Confirming Continuation Candle</t>
  </si>
  <si>
    <t>Pullback Depth % of Impulse</t>
  </si>
  <si>
    <t>Candle Closes in Same direction</t>
  </si>
  <si>
    <t>Impulse Size</t>
  </si>
  <si>
    <t>Extension &gt;50%</t>
  </si>
  <si>
    <t>Pullback Size</t>
  </si>
  <si>
    <t>Top Rejections Count</t>
  </si>
  <si>
    <t>Pullback Candles Count</t>
  </si>
  <si>
    <t>Bottom Rejections Count</t>
  </si>
  <si>
    <t>Early Compression</t>
  </si>
  <si>
    <t>Failed Breakouts Count</t>
  </si>
  <si>
    <t>Candles&gt;50%</t>
  </si>
  <si>
    <t>Catalyst Alignment</t>
  </si>
  <si>
    <t>3 5-Min Candles Overlap More than 50%</t>
  </si>
  <si>
    <t>Auto-Scored Confirmations</t>
  </si>
  <si>
    <t>Confirmation</t>
  </si>
  <si>
    <t>Bullish Criteria</t>
  </si>
  <si>
    <t>Neutral Criteria</t>
  </si>
  <si>
    <t>Bearish Criteria</t>
  </si>
  <si>
    <t>Auto Score</t>
  </si>
  <si>
    <t>Auto Output</t>
  </si>
  <si>
    <t>Manual Override</t>
  </si>
  <si>
    <t>Final Score</t>
  </si>
  <si>
    <t>Overnight Trend</t>
  </si>
  <si>
    <t>Trend dropdown = Bullish</t>
  </si>
  <si>
    <t>Trend dropdown = Neutral</t>
  </si>
  <si>
    <t>Trend dropdown = Bearish</t>
  </si>
  <si>
    <t>Location vs PDH/PDL</t>
  </si>
  <si>
    <t>Price &gt; PDH</t>
  </si>
  <si>
    <t>Price inside PDH / PDL</t>
  </si>
  <si>
    <t>Price &lt; PDL</t>
  </si>
  <si>
    <t>Position in Overnight Range</t>
  </si>
  <si>
    <t>Upper 25% and within 10% of PMH</t>
  </si>
  <si>
    <t>Middle 50% of range</t>
  </si>
  <si>
    <t>Lower 25% and within 10% of PML</t>
  </si>
  <si>
    <t>Strength Into Open</t>
  </si>
  <si>
    <t>Move up &gt;=10% of range and green candles &gt;=4</t>
  </si>
  <si>
    <t>Move &lt;10% of range or candles mixed</t>
  </si>
  <si>
    <t>Move down &gt;=10% of range and red candles &gt;=4</t>
  </si>
  <si>
    <t>Catalyst</t>
  </si>
  <si>
    <t>Catalyst dropdown = Bullish</t>
  </si>
  <si>
    <t>Catalyst dropdown = Neutral</t>
  </si>
  <si>
    <t>Catalyst dropdown = Bearish</t>
  </si>
  <si>
    <t>Bias Summary</t>
  </si>
  <si>
    <t>Auto Total Score</t>
  </si>
  <si>
    <t>Auto Bias</t>
  </si>
  <si>
    <t>Final Total Score</t>
  </si>
  <si>
    <t>Final Bias</t>
  </si>
  <si>
    <t>Suggested Strategy Focus</t>
  </si>
  <si>
    <t>Auto-Scored Day Type Classification</t>
  </si>
  <si>
    <t>Day Type</t>
  </si>
  <si>
    <t>C1</t>
  </si>
  <si>
    <t>C2</t>
  </si>
  <si>
    <t>C3</t>
  </si>
  <si>
    <t>C4</t>
  </si>
  <si>
    <t>C5</t>
  </si>
  <si>
    <t>Auto Status</t>
  </si>
  <si>
    <t>Best Strategies</t>
  </si>
  <si>
    <t>Trend Day</t>
  </si>
  <si>
    <t>VWAP Pullback / ORB / Break &amp; Retest</t>
  </si>
  <si>
    <t>Countertrend fades / range trades</t>
  </si>
  <si>
    <t>Range Day</t>
  </si>
  <si>
    <t>Mean Reversion / Fade Extremes</t>
  </si>
  <si>
    <t>Breakout chasing / momentum entries</t>
  </si>
  <si>
    <t>Breakout / Expansion Day</t>
  </si>
  <si>
    <t>Delayed ORB / HOD-LOD Break</t>
  </si>
  <si>
    <t>Early guessing / fading first breakout</t>
  </si>
  <si>
    <t>Gap &amp; Go Day</t>
  </si>
  <si>
    <t>Aggressive ORB / Momentum Continuation</t>
  </si>
  <si>
    <t>Waiting for deep pullbacks / fading early</t>
  </si>
  <si>
    <t>Gap &amp; Fade Day</t>
  </si>
  <si>
    <t>Fade after failure / VWAP reversal</t>
  </si>
  <si>
    <t>Blind breakout entries</t>
  </si>
  <si>
    <t>Decision Summary</t>
  </si>
  <si>
    <t>Objective Scoring Reference</t>
  </si>
  <si>
    <t>How to confirm objectively</t>
  </si>
  <si>
    <t>Need structure, low overlap, 3+ candles on one side of VWAP, no return to VWAP, and pullbacks &lt;=50% lasting &lt;=3 candles.</t>
  </si>
  <si>
    <t>Need 3+ VWAP crossings, 2+ rejections on both sides, and failed breakouts with no follow-through.</t>
  </si>
  <si>
    <t>Need early compression, breakout hold, larger range, larger volume, and catalyst alignment.</t>
  </si>
  <si>
    <t>Execution Note</t>
  </si>
  <si>
    <t>Need a real gap, aligned overnight context, hold in first 10 minutes, no fill attempt, and same-direction VWAP alignment.</t>
  </si>
  <si>
    <t>Need a real gap, failed hold, return to prior range, reversal structure, and opposite-direction VWAP rejection.</t>
  </si>
  <si>
    <t>Entry</t>
  </si>
  <si>
    <t>Stop</t>
  </si>
  <si>
    <t>Point Risk</t>
  </si>
  <si>
    <t>Point Value MES</t>
  </si>
  <si>
    <t>Risk Per Contract</t>
  </si>
  <si>
    <t>Risk Trade</t>
  </si>
  <si>
    <t>Total Contracts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</si>
</sst>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9]d\-mmm;@"/>
    <numFmt numFmtId="165" formatCode="0.000%"/>
    <numFmt numFmtId="166" formatCode="0.0"/>
  </numFmts>
  <fonts count="13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3"/>
      <color rgb="FFFFFFFF"/>
      <name val="Carlito"/>
    </font>
    <font>
      <b/>
      <sz val="11"/>
      <color rgb="FF1F2937"/>
      <name val="Carlito"/>
    </font>
    <font>
      <sz val="11"/>
      <color rgb="FF000000"/>
      <name val="Calibri"/>
      <family val="2"/>
    </font>
    <font>
      <b/>
      <sz val="11"/>
      <name val="Carlito"/>
    </font>
    <font>
      <b/>
      <sz val="11"/>
      <color rgb="FFC00000"/>
      <name val="Carlito"/>
    </font>
    <font>
      <sz val="11"/>
      <color rgb="FFC00000"/>
      <name val="Aptos Narrow"/>
      <family val="2"/>
      <scheme val="minor"/>
    </font>
    <font>
      <b/>
      <sz val="11"/>
      <color rgb="FF00B050"/>
      <name val="Carlito"/>
    </font>
    <font>
      <b/>
      <sz val="11"/>
      <color rgb="FF00B0F0"/>
      <name val="Carlito"/>
    </font>
    <font>
      <b/>
      <sz val="11"/>
      <color theme="1" tint="0.499984740745262"/>
      <name val="Carlito"/>
    </font>
    <font>
      <b/>
      <sz val="11"/>
      <color theme="5"/>
      <name val="Carlito"/>
    </font>
    <font>
      <b/>
      <sz val="11"/>
      <color rgb="FFFFFFFF"/>
      <name val="Carlito"/>
    </font>
  </fonts>
  <fills count="10">
    <fill>
      <patternFill patternType="none"/>
    </fill>
    <fill>
      <patternFill patternType="gray125"/>
    </fill>
    <fill>
      <patternFill patternType="solid">
        <fgColor rgb="FF1F4E78"/>
      </patternFill>
    </fill>
    <fill>
      <patternFill patternType="solid">
        <fgColor rgb="FFD9EAF7"/>
      </patternFill>
    </fill>
    <fill>
      <patternFill patternType="solid">
        <fgColor theme="2"/>
        <bgColor indexed="64"/>
      </patternFill>
    </fill>
    <fill>
      <patternFill patternType="solid">
        <fgColor rgb="FFF3BDC3"/>
        <bgColor indexed="64"/>
      </patternFill>
    </fill>
    <fill>
      <patternFill patternType="solid">
        <fgColor rgb="FFF3F4F6"/>
      </patternFill>
    </fill>
    <fill>
      <patternFill patternType="solid">
        <fgColor theme="0"/>
        <bgColor indexed="64"/>
      </patternFill>
    </fill>
    <fill>
      <patternFill patternType="solid">
        <fgColor rgb="FF1F4E79"/>
      </patternFill>
    </fill>
    <fill>
      <patternFill patternType="solid">
        <fgColor rgb="FFD9E7F5"/>
      </patternFill>
    </fill>
  </fills>
  <borders count="16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/>
  </cellStyleXfs>
  <cellXfs count="108">
    <xf numFmtId="0" fontId="0" fillId="0" borderId="0" xfId="0"/>
    <xf numFmtId="0" fontId="2" fillId="2" borderId="0" xfId="0" applyFont="1" applyFill="1" applyAlignment="1">
      <alignment horizontal="center"/>
    </xf>
    <xf numFmtId="0" fontId="0" fillId="0" borderId="0" xfId="0"/>
    <xf numFmtId="0" fontId="3" fillId="3" borderId="1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5" fillId="4" borderId="4" xfId="2" applyFont="1" applyFill="1" applyBorder="1"/>
    <xf numFmtId="164" fontId="0" fillId="4" borderId="5" xfId="0" applyNumberFormat="1" applyFill="1" applyBorder="1"/>
    <xf numFmtId="0" fontId="5" fillId="5" borderId="6" xfId="2" applyFont="1" applyFill="1" applyBorder="1" applyAlignment="1">
      <alignment horizontal="center"/>
    </xf>
    <xf numFmtId="0" fontId="0" fillId="5" borderId="7" xfId="0" applyFill="1" applyBorder="1" applyAlignment="1">
      <alignment horizontal="center"/>
    </xf>
    <xf numFmtId="0" fontId="5" fillId="4" borderId="8" xfId="2" applyFont="1" applyFill="1" applyBorder="1"/>
    <xf numFmtId="0" fontId="0" fillId="4" borderId="5" xfId="0" applyFill="1" applyBorder="1" applyAlignment="1">
      <alignment horizontal="right"/>
    </xf>
    <xf numFmtId="0" fontId="5" fillId="0" borderId="9" xfId="2" applyFont="1" applyBorder="1"/>
    <xf numFmtId="0" fontId="0" fillId="0" borderId="7" xfId="0" applyBorder="1" applyAlignment="1">
      <alignment horizontal="right"/>
    </xf>
    <xf numFmtId="0" fontId="6" fillId="4" borderId="10" xfId="0" applyFont="1" applyFill="1" applyBorder="1"/>
    <xf numFmtId="0" fontId="7" fillId="4" borderId="9" xfId="0" applyFont="1" applyFill="1" applyBorder="1" applyAlignment="1">
      <alignment horizontal="right"/>
    </xf>
    <xf numFmtId="0" fontId="5" fillId="0" borderId="8" xfId="2" applyFont="1" applyBorder="1"/>
    <xf numFmtId="0" fontId="0" fillId="0" borderId="5" xfId="0" applyBorder="1" applyAlignment="1">
      <alignment horizontal="right"/>
    </xf>
    <xf numFmtId="0" fontId="5" fillId="5" borderId="1" xfId="2" applyFont="1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8" fillId="0" borderId="11" xfId="0" applyFont="1" applyBorder="1" applyAlignment="1">
      <alignment horizontal="left" indent="2"/>
    </xf>
    <xf numFmtId="0" fontId="9" fillId="4" borderId="10" xfId="2" applyFont="1" applyFill="1" applyBorder="1" applyAlignment="1">
      <alignment horizontal="left" indent="2"/>
    </xf>
    <xf numFmtId="2" fontId="0" fillId="4" borderId="5" xfId="0" applyNumberFormat="1" applyFill="1" applyBorder="1"/>
    <xf numFmtId="0" fontId="8" fillId="4" borderId="11" xfId="0" applyFont="1" applyFill="1" applyBorder="1" applyAlignment="1">
      <alignment horizontal="left" indent="2"/>
    </xf>
    <xf numFmtId="0" fontId="9" fillId="0" borderId="11" xfId="2" applyFont="1" applyBorder="1" applyAlignment="1">
      <alignment horizontal="left" indent="2"/>
    </xf>
    <xf numFmtId="2" fontId="0" fillId="0" borderId="5" xfId="0" applyNumberFormat="1" applyBorder="1"/>
    <xf numFmtId="165" fontId="0" fillId="4" borderId="5" xfId="1" applyNumberFormat="1" applyFont="1" applyFill="1" applyBorder="1" applyAlignment="1">
      <alignment horizontal="right"/>
    </xf>
    <xf numFmtId="0" fontId="9" fillId="4" borderId="11" xfId="2" applyFont="1" applyFill="1" applyBorder="1" applyAlignment="1">
      <alignment horizontal="left" indent="2"/>
    </xf>
    <xf numFmtId="0" fontId="5" fillId="0" borderId="8" xfId="0" applyFont="1" applyBorder="1"/>
    <xf numFmtId="0" fontId="10" fillId="0" borderId="4" xfId="0" applyFont="1" applyBorder="1" applyAlignment="1">
      <alignment horizontal="left" indent="2"/>
    </xf>
    <xf numFmtId="2" fontId="7" fillId="0" borderId="7" xfId="0" applyNumberFormat="1" applyFont="1" applyBorder="1" applyAlignment="1">
      <alignment horizontal="right"/>
    </xf>
    <xf numFmtId="0" fontId="5" fillId="4" borderId="8" xfId="0" applyFont="1" applyFill="1" applyBorder="1"/>
    <xf numFmtId="0" fontId="9" fillId="4" borderId="4" xfId="2" applyFont="1" applyFill="1" applyBorder="1" applyAlignment="1">
      <alignment horizontal="left" indent="2"/>
    </xf>
    <xf numFmtId="2" fontId="0" fillId="4" borderId="7" xfId="0" applyNumberFormat="1" applyFill="1" applyBorder="1"/>
    <xf numFmtId="0" fontId="6" fillId="4" borderId="9" xfId="0" applyFont="1" applyFill="1" applyBorder="1"/>
    <xf numFmtId="0" fontId="7" fillId="4" borderId="3" xfId="0" applyFont="1" applyFill="1" applyBorder="1" applyAlignment="1">
      <alignment horizontal="right"/>
    </xf>
    <xf numFmtId="2" fontId="0" fillId="0" borderId="5" xfId="0" applyNumberFormat="1" applyBorder="1" applyAlignment="1">
      <alignment horizontal="right"/>
    </xf>
    <xf numFmtId="2" fontId="0" fillId="4" borderId="5" xfId="0" applyNumberFormat="1" applyFill="1" applyBorder="1" applyAlignment="1">
      <alignment horizontal="right"/>
    </xf>
    <xf numFmtId="0" fontId="11" fillId="4" borderId="10" xfId="2" applyFont="1" applyFill="1" applyBorder="1" applyAlignment="1">
      <alignment horizontal="left" indent="2"/>
    </xf>
    <xf numFmtId="0" fontId="11" fillId="0" borderId="11" xfId="2" applyFont="1" applyBorder="1" applyAlignment="1">
      <alignment horizontal="left" indent="2"/>
    </xf>
    <xf numFmtId="0" fontId="11" fillId="4" borderId="11" xfId="2" applyFont="1" applyFill="1" applyBorder="1" applyAlignment="1">
      <alignment horizontal="left" indent="2"/>
    </xf>
    <xf numFmtId="0" fontId="0" fillId="4" borderId="5" xfId="0" applyFill="1" applyBorder="1"/>
    <xf numFmtId="0" fontId="0" fillId="0" borderId="5" xfId="0" applyBorder="1"/>
    <xf numFmtId="1" fontId="0" fillId="4" borderId="5" xfId="0" applyNumberFormat="1" applyFill="1" applyBorder="1" applyAlignment="1">
      <alignment horizontal="right"/>
    </xf>
    <xf numFmtId="0" fontId="4" fillId="4" borderId="5" xfId="2" applyFill="1" applyBorder="1" applyAlignment="1">
      <alignment horizontal="right"/>
    </xf>
    <xf numFmtId="1" fontId="0" fillId="0" borderId="5" xfId="0" applyNumberFormat="1" applyBorder="1" applyAlignment="1">
      <alignment horizontal="right"/>
    </xf>
    <xf numFmtId="0" fontId="11" fillId="0" borderId="4" xfId="2" applyFont="1" applyBorder="1" applyAlignment="1">
      <alignment horizontal="left" indent="2"/>
    </xf>
    <xf numFmtId="0" fontId="4" fillId="0" borderId="7" xfId="2" applyBorder="1" applyAlignment="1">
      <alignment horizontal="right"/>
    </xf>
    <xf numFmtId="1" fontId="0" fillId="0" borderId="5" xfId="0" applyNumberFormat="1" applyBorder="1" applyAlignment="1">
      <alignment horizontal="left"/>
    </xf>
    <xf numFmtId="0" fontId="0" fillId="4" borderId="5" xfId="0" applyFill="1" applyBorder="1" applyAlignment="1">
      <alignment horizontal="left"/>
    </xf>
    <xf numFmtId="0" fontId="8" fillId="4" borderId="10" xfId="2" applyFont="1" applyFill="1" applyBorder="1" applyAlignment="1">
      <alignment horizontal="left" indent="2"/>
    </xf>
    <xf numFmtId="2" fontId="0" fillId="4" borderId="12" xfId="0" applyNumberFormat="1" applyFill="1" applyBorder="1"/>
    <xf numFmtId="0" fontId="8" fillId="0" borderId="4" xfId="0" applyFont="1" applyBorder="1" applyAlignment="1">
      <alignment horizontal="left" indent="2"/>
    </xf>
    <xf numFmtId="0" fontId="0" fillId="0" borderId="7" xfId="0" applyBorder="1" applyAlignment="1">
      <alignment horizontal="left"/>
    </xf>
    <xf numFmtId="0" fontId="8" fillId="0" borderId="11" xfId="2" applyFont="1" applyBorder="1" applyAlignment="1">
      <alignment horizontal="left" indent="2"/>
    </xf>
    <xf numFmtId="0" fontId="0" fillId="4" borderId="3" xfId="0" applyFill="1" applyBorder="1" applyAlignment="1">
      <alignment horizontal="right"/>
    </xf>
    <xf numFmtId="0" fontId="8" fillId="4" borderId="11" xfId="2" applyFont="1" applyFill="1" applyBorder="1" applyAlignment="1">
      <alignment horizontal="left" indent="2"/>
    </xf>
    <xf numFmtId="0" fontId="6" fillId="0" borderId="9" xfId="0" applyFont="1" applyBorder="1"/>
    <xf numFmtId="0" fontId="0" fillId="0" borderId="3" xfId="0" applyBorder="1" applyAlignment="1">
      <alignment horizontal="right"/>
    </xf>
    <xf numFmtId="0" fontId="5" fillId="4" borderId="6" xfId="0" applyFont="1" applyFill="1" applyBorder="1"/>
    <xf numFmtId="0" fontId="0" fillId="4" borderId="7" xfId="0" applyFill="1" applyBorder="1" applyAlignment="1">
      <alignment horizontal="right"/>
    </xf>
    <xf numFmtId="0" fontId="4" fillId="0" borderId="5" xfId="2" applyBorder="1" applyAlignment="1">
      <alignment horizontal="right"/>
    </xf>
    <xf numFmtId="0" fontId="8" fillId="0" borderId="4" xfId="2" applyFont="1" applyBorder="1" applyAlignment="1">
      <alignment horizontal="left" indent="2"/>
    </xf>
    <xf numFmtId="0" fontId="0" fillId="4" borderId="9" xfId="0" applyFill="1" applyBorder="1" applyAlignment="1">
      <alignment horizontal="right"/>
    </xf>
    <xf numFmtId="9" fontId="7" fillId="0" borderId="7" xfId="1" applyFont="1" applyBorder="1" applyAlignment="1">
      <alignment horizontal="right"/>
    </xf>
    <xf numFmtId="9" fontId="7" fillId="4" borderId="9" xfId="1" applyFont="1" applyFill="1" applyBorder="1" applyAlignment="1">
      <alignment horizontal="right"/>
    </xf>
    <xf numFmtId="0" fontId="8" fillId="4" borderId="4" xfId="0" applyFont="1" applyFill="1" applyBorder="1" applyAlignment="1">
      <alignment horizontal="left" indent="2"/>
    </xf>
    <xf numFmtId="0" fontId="6" fillId="0" borderId="10" xfId="0" applyFont="1" applyBorder="1"/>
    <xf numFmtId="0" fontId="0" fillId="0" borderId="10" xfId="0" applyBorder="1" applyAlignment="1">
      <alignment horizontal="right"/>
    </xf>
    <xf numFmtId="0" fontId="0" fillId="0" borderId="9" xfId="0" applyBorder="1"/>
    <xf numFmtId="0" fontId="0" fillId="0" borderId="9" xfId="0" applyBorder="1" applyAlignment="1">
      <alignment horizontal="right"/>
    </xf>
    <xf numFmtId="0" fontId="10" fillId="0" borderId="11" xfId="0" applyFont="1" applyBorder="1" applyAlignment="1">
      <alignment horizontal="left" indent="2"/>
    </xf>
    <xf numFmtId="9" fontId="7" fillId="0" borderId="5" xfId="1" applyFont="1" applyFill="1" applyBorder="1" applyAlignment="1">
      <alignment horizontal="right"/>
    </xf>
    <xf numFmtId="0" fontId="6" fillId="4" borderId="4" xfId="0" applyFont="1" applyFill="1" applyBorder="1"/>
    <xf numFmtId="0" fontId="0" fillId="4" borderId="4" xfId="0" applyFill="1" applyBorder="1" applyAlignment="1">
      <alignment horizontal="right"/>
    </xf>
    <xf numFmtId="0" fontId="12" fillId="2" borderId="13" xfId="0" applyFont="1" applyFill="1" applyBorder="1" applyAlignment="1">
      <alignment horizontal="center"/>
    </xf>
    <xf numFmtId="0" fontId="0" fillId="0" borderId="14" xfId="0" applyBorder="1"/>
    <xf numFmtId="0" fontId="0" fillId="0" borderId="12" xfId="0" applyBorder="1"/>
    <xf numFmtId="0" fontId="12" fillId="2" borderId="8" xfId="0" applyFont="1" applyFill="1" applyBorder="1" applyAlignment="1">
      <alignment horizontal="center"/>
    </xf>
    <xf numFmtId="0" fontId="12" fillId="2" borderId="0" xfId="0" applyFont="1" applyFill="1" applyAlignment="1">
      <alignment horizontal="center"/>
    </xf>
    <xf numFmtId="0" fontId="12" fillId="2" borderId="5" xfId="0" applyFont="1" applyFill="1" applyBorder="1" applyAlignment="1">
      <alignment horizontal="center"/>
    </xf>
    <xf numFmtId="0" fontId="5" fillId="4" borderId="8" xfId="0" applyFont="1" applyFill="1" applyBorder="1" applyAlignment="1">
      <alignment vertical="top" wrapText="1"/>
    </xf>
    <xf numFmtId="0" fontId="0" fillId="4" borderId="0" xfId="0" applyFill="1" applyAlignment="1">
      <alignment vertical="top" wrapText="1"/>
    </xf>
    <xf numFmtId="0" fontId="0" fillId="4" borderId="5" xfId="0" applyFill="1" applyBorder="1" applyAlignment="1">
      <alignment vertical="top" wrapText="1"/>
    </xf>
    <xf numFmtId="0" fontId="5" fillId="0" borderId="8" xfId="0" applyFont="1" applyBorder="1" applyAlignment="1">
      <alignment vertical="top" wrapText="1"/>
    </xf>
    <xf numFmtId="0" fontId="0" fillId="0" borderId="0" xfId="0" applyAlignment="1">
      <alignment vertical="top" wrapText="1"/>
    </xf>
    <xf numFmtId="0" fontId="0" fillId="0" borderId="5" xfId="0" applyBorder="1" applyAlignment="1">
      <alignment vertical="top" wrapText="1"/>
    </xf>
    <xf numFmtId="0" fontId="5" fillId="4" borderId="6" xfId="0" applyFont="1" applyFill="1" applyBorder="1" applyAlignment="1">
      <alignment vertical="top" wrapText="1"/>
    </xf>
    <xf numFmtId="0" fontId="0" fillId="4" borderId="15" xfId="0" applyFill="1" applyBorder="1" applyAlignment="1">
      <alignment vertical="top" wrapText="1"/>
    </xf>
    <xf numFmtId="0" fontId="0" fillId="4" borderId="7" xfId="0" applyFill="1" applyBorder="1" applyAlignment="1">
      <alignment vertical="top" wrapText="1"/>
    </xf>
    <xf numFmtId="0" fontId="12" fillId="2" borderId="1" xfId="0" applyFont="1" applyFill="1" applyBorder="1" applyAlignment="1">
      <alignment horizontal="center"/>
    </xf>
    <xf numFmtId="0" fontId="5" fillId="6" borderId="8" xfId="0" applyFont="1" applyFill="1" applyBorder="1"/>
    <xf numFmtId="0" fontId="0" fillId="0" borderId="0" xfId="0" applyAlignment="1">
      <alignment horizontal="left"/>
    </xf>
    <xf numFmtId="0" fontId="0" fillId="7" borderId="0" xfId="0" applyFill="1"/>
    <xf numFmtId="0" fontId="0" fillId="7" borderId="5" xfId="0" applyFill="1" applyBorder="1"/>
    <xf numFmtId="0" fontId="5" fillId="6" borderId="6" xfId="0" applyFont="1" applyFill="1" applyBorder="1"/>
    <xf numFmtId="0" fontId="0" fillId="0" borderId="15" xfId="0" applyBorder="1"/>
    <xf numFmtId="0" fontId="0" fillId="0" borderId="7" xfId="0" applyBorder="1"/>
    <xf numFmtId="0" fontId="12" fillId="8" borderId="0" xfId="0" applyFont="1" applyFill="1" applyAlignment="1">
      <alignment horizontal="center"/>
    </xf>
    <xf numFmtId="0" fontId="12" fillId="8" borderId="0" xfId="0" applyFont="1" applyFill="1" applyAlignment="1">
      <alignment horizont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1" fontId="0" fillId="0" borderId="0" xfId="0" applyNumberFormat="1" applyAlignment="1">
      <alignment horizontal="center" wrapText="1"/>
    </xf>
    <xf numFmtId="0" fontId="12" fillId="8" borderId="0" xfId="0" applyFont="1" applyFill="1"/>
    <xf numFmtId="0" fontId="5" fillId="6" borderId="0" xfId="0" applyFont="1" applyFill="1"/>
    <xf numFmtId="1" fontId="0" fillId="0" borderId="0" xfId="0" applyNumberFormat="1" applyAlignment="1">
      <alignment wrapText="1"/>
    </xf>
    <xf numFmtId="0" fontId="5" fillId="9" borderId="0" xfId="0" applyFont="1" applyFill="1"/>
    <xf numFmtId="166" fontId="0" fillId="0" borderId="0" xfId="0" applyNumberFormat="1"/>
  </cellXfs>
  <cellStyles count="3">
    <cellStyle name="Normal" xfId="0" builtinId="0"/>
    <cellStyle name="Normal 2" xfId="2" xr:uid="{7807F334-6062-496A-B0CB-A67EF2FCA3B9}"/>
    <cellStyle name="Percent" xfId="1" builtinId="5"/>
  </cellStyles>
  <dxfs count="17">
    <dxf>
      <font>
        <color rgb="FF374151"/>
      </font>
      <fill>
        <patternFill>
          <bgColor rgb="FFF3F4F6"/>
        </patternFill>
      </fill>
    </dxf>
    <dxf>
      <font>
        <b/>
        <color rgb="FF92400E"/>
      </font>
      <fill>
        <patternFill>
          <bgColor rgb="FFFEF3C7"/>
        </patternFill>
      </fill>
    </dxf>
    <dxf>
      <font>
        <b/>
        <color rgb="FF166534"/>
      </font>
      <fill>
        <patternFill>
          <bgColor rgb="FFDCFCE7"/>
        </patternFill>
      </fill>
    </dxf>
    <dxf>
      <fill>
        <patternFill>
          <bgColor rgb="FFFCE4D6"/>
        </patternFill>
      </fill>
    </dxf>
    <dxf>
      <fill>
        <patternFill>
          <bgColor rgb="FFFFF2CC"/>
        </patternFill>
      </fill>
    </dxf>
    <dxf>
      <fill>
        <patternFill>
          <bgColor rgb="FFE2F0D9"/>
        </patternFill>
      </fill>
    </dxf>
    <dxf>
      <fill>
        <patternFill>
          <bgColor rgb="FFFCE4D6"/>
        </patternFill>
      </fill>
    </dxf>
    <dxf>
      <fill>
        <patternFill>
          <bgColor rgb="FFFFF2CC"/>
        </patternFill>
      </fill>
    </dxf>
    <dxf>
      <fill>
        <patternFill>
          <bgColor rgb="FFE2F0D9"/>
        </patternFill>
      </fill>
    </dxf>
    <dxf>
      <font>
        <b/>
        <color rgb="FF166534"/>
      </font>
      <fill>
        <patternFill>
          <bgColor rgb="FFDCFCE7"/>
        </patternFill>
      </fill>
    </dxf>
    <dxf>
      <font>
        <b/>
        <color rgb="FF92400E"/>
      </font>
      <fill>
        <patternFill>
          <bgColor rgb="FFFEF3C7"/>
        </patternFill>
      </fill>
    </dxf>
    <dxf>
      <font>
        <b/>
      </font>
      <fill>
        <patternFill>
          <bgColor rgb="FFFCE4D6"/>
        </patternFill>
      </fill>
    </dxf>
    <dxf>
      <font>
        <b/>
      </font>
      <fill>
        <patternFill>
          <bgColor rgb="FFFFF2CC"/>
        </patternFill>
      </fill>
    </dxf>
    <dxf>
      <font>
        <b/>
      </font>
      <fill>
        <patternFill>
          <bgColor rgb="FFE2F0D9"/>
        </patternFill>
      </fill>
    </dxf>
    <dxf>
      <font>
        <b/>
      </font>
      <fill>
        <patternFill>
          <bgColor rgb="FFFCE4D6"/>
        </patternFill>
      </fill>
    </dxf>
    <dxf>
      <font>
        <b/>
      </font>
      <fill>
        <patternFill>
          <bgColor rgb="FFFFF2CC"/>
        </patternFill>
      </fill>
    </dxf>
    <dxf>
      <font>
        <b/>
      </font>
      <fill>
        <patternFill>
          <bgColor rgb="FFE2F0D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726D5C-822A-4803-B84B-DCF81DBBE1D2}">
  <dimension ref="A1:L70"/>
  <sheetViews>
    <sheetView tabSelected="1" topLeftCell="A18" workbookViewId="0">
      <selection activeCell="G36" sqref="G36"/>
    </sheetView>
  </sheetViews>
  <sheetFormatPr defaultRowHeight="15"/>
  <cols>
    <col min="1" max="1" width="44" customWidth="1"/>
    <col min="2" max="2" width="21" customWidth="1"/>
    <col min="3" max="3" width="17.28515625" customWidth="1"/>
    <col min="4" max="4" width="43.85546875" customWidth="1"/>
    <col min="5" max="5" width="13.140625" customWidth="1"/>
    <col min="6" max="6" width="14" customWidth="1"/>
    <col min="7" max="7" width="46.5703125" customWidth="1"/>
    <col min="8" max="8" width="43.5703125" customWidth="1"/>
    <col min="11" max="11" width="44.85546875" bestFit="1" customWidth="1"/>
    <col min="12" max="12" width="19.28515625" customWidth="1"/>
  </cols>
  <sheetData>
    <row r="1" spans="1:8" ht="16.5">
      <c r="A1" s="1" t="s">
        <v>0</v>
      </c>
      <c r="B1" s="2"/>
      <c r="C1" s="2"/>
      <c r="D1" s="2"/>
      <c r="E1" s="2"/>
      <c r="F1" s="2"/>
      <c r="G1" s="2"/>
      <c r="H1" s="2"/>
    </row>
    <row r="2" spans="1:8" ht="15.75" thickBot="1"/>
    <row r="3" spans="1:8" ht="15.75" thickBot="1">
      <c r="A3" s="3" t="s">
        <v>1</v>
      </c>
      <c r="B3" s="4"/>
      <c r="C3" s="4"/>
      <c r="D3" s="4"/>
      <c r="E3" s="5"/>
      <c r="G3" s="3" t="s">
        <v>2</v>
      </c>
      <c r="H3" s="5"/>
    </row>
    <row r="4" spans="1:8" ht="15.75" thickBot="1">
      <c r="A4" s="6" t="s">
        <v>3</v>
      </c>
      <c r="B4" s="7">
        <v>46171</v>
      </c>
      <c r="D4" s="8" t="s">
        <v>4</v>
      </c>
      <c r="E4" s="9"/>
      <c r="G4" s="10" t="s">
        <v>5</v>
      </c>
      <c r="H4" s="11">
        <f>IF(OR(B7="",B8=""),"",B7-B8)</f>
        <v>15.5</v>
      </c>
    </row>
    <row r="5" spans="1:8" ht="15.75" thickBot="1">
      <c r="A5" s="12" t="s">
        <v>6</v>
      </c>
      <c r="B5" s="13" t="s">
        <v>7</v>
      </c>
      <c r="D5" s="14" t="s">
        <v>8</v>
      </c>
      <c r="E5" s="15" t="str">
        <f>IF(E6&gt;=1.5*E10, "Yes", "No")</f>
        <v>No</v>
      </c>
      <c r="G5" s="16" t="s">
        <v>9</v>
      </c>
      <c r="H5" s="17">
        <f>IF(H4="","",B8+(0.75*H4))</f>
        <v>7606.625</v>
      </c>
    </row>
    <row r="6" spans="1:8" ht="15.75" thickBot="1">
      <c r="A6" s="18" t="s">
        <v>10</v>
      </c>
      <c r="B6" s="19"/>
      <c r="D6" s="20" t="s">
        <v>11</v>
      </c>
      <c r="E6" s="17">
        <v>14</v>
      </c>
      <c r="G6" s="10" t="s">
        <v>12</v>
      </c>
      <c r="H6" s="11">
        <f>IF(H4="","",B8+(0.25*H4))</f>
        <v>7598.875</v>
      </c>
    </row>
    <row r="7" spans="1:8">
      <c r="A7" s="21" t="s">
        <v>13</v>
      </c>
      <c r="B7" s="22">
        <v>7610.5</v>
      </c>
      <c r="D7" s="23" t="s">
        <v>14</v>
      </c>
      <c r="E7" s="11">
        <v>9</v>
      </c>
      <c r="G7" s="16" t="s">
        <v>15</v>
      </c>
      <c r="H7" s="17">
        <f>IF(OR(B13="",B14=""),"",B14-B13)</f>
        <v>1.75</v>
      </c>
    </row>
    <row r="8" spans="1:8">
      <c r="A8" s="24" t="s">
        <v>16</v>
      </c>
      <c r="B8" s="25">
        <v>7595</v>
      </c>
      <c r="D8" s="20" t="s">
        <v>17</v>
      </c>
      <c r="E8" s="17">
        <v>12</v>
      </c>
      <c r="G8" s="10" t="s">
        <v>18</v>
      </c>
      <c r="H8" s="26">
        <f>IF(OR(H7="",H4="",H4=0),"",ABS(H7)/H4)</f>
        <v>0.11290322580645161</v>
      </c>
    </row>
    <row r="9" spans="1:8">
      <c r="A9" s="27" t="s">
        <v>19</v>
      </c>
      <c r="B9" s="22">
        <v>7632.75</v>
      </c>
      <c r="D9" s="23" t="s">
        <v>20</v>
      </c>
      <c r="E9" s="11">
        <v>13</v>
      </c>
      <c r="G9" s="28" t="s">
        <v>21</v>
      </c>
      <c r="H9" s="17">
        <f>IF(H4="","",B8+(0.9*H4))</f>
        <v>7608.95</v>
      </c>
    </row>
    <row r="10" spans="1:8" ht="15.75" thickBot="1">
      <c r="A10" s="24" t="s">
        <v>22</v>
      </c>
      <c r="B10" s="25">
        <v>7576</v>
      </c>
      <c r="D10" s="29" t="s">
        <v>23</v>
      </c>
      <c r="E10" s="30">
        <f>SUM(E7:E9)/3</f>
        <v>11.333333333333334</v>
      </c>
      <c r="G10" s="31" t="s">
        <v>24</v>
      </c>
      <c r="H10" s="11">
        <f>IF(H4="","",B8+(0.1*H4))</f>
        <v>7596.55</v>
      </c>
    </row>
    <row r="11" spans="1:8" ht="15.75" thickBot="1">
      <c r="A11" s="32" t="s">
        <v>25</v>
      </c>
      <c r="B11" s="33">
        <v>7613.75</v>
      </c>
      <c r="D11" s="34" t="s">
        <v>26</v>
      </c>
      <c r="E11" s="35" t="str">
        <f>IF(E12&gt;=1.5*E16, "Yes", "No")</f>
        <v>Yes</v>
      </c>
      <c r="G11" s="28" t="s">
        <v>27</v>
      </c>
      <c r="H11" s="36">
        <f>IF(OR(B21="",B22=""),"",B21-B22)</f>
        <v>9.75</v>
      </c>
    </row>
    <row r="12" spans="1:8" ht="15.75" thickBot="1">
      <c r="A12" s="18" t="s">
        <v>28</v>
      </c>
      <c r="B12" s="19"/>
      <c r="D12" s="20" t="s">
        <v>29</v>
      </c>
      <c r="E12" s="17">
        <v>7</v>
      </c>
      <c r="G12" s="31" t="s">
        <v>30</v>
      </c>
      <c r="H12" s="37">
        <f>IF(OR(B11="",B20=""),"",B20-B11)</f>
        <v>-15.25</v>
      </c>
    </row>
    <row r="13" spans="1:8">
      <c r="A13" s="38" t="s">
        <v>31</v>
      </c>
      <c r="B13" s="22">
        <v>7597</v>
      </c>
      <c r="D13" s="23" t="s">
        <v>32</v>
      </c>
      <c r="E13" s="11">
        <v>3</v>
      </c>
      <c r="G13" s="28" t="s">
        <v>33</v>
      </c>
      <c r="H13" s="17" t="str">
        <f>IF(OR(B20="",B9="",B10=""),"",IF(OR(B20&gt;B9,B20&lt;B10),"Yes","No"))</f>
        <v>No</v>
      </c>
    </row>
    <row r="14" spans="1:8">
      <c r="A14" s="39" t="s">
        <v>34</v>
      </c>
      <c r="B14" s="25">
        <v>7598.75</v>
      </c>
      <c r="D14" s="20" t="s">
        <v>35</v>
      </c>
      <c r="E14" s="17">
        <v>3</v>
      </c>
      <c r="G14" s="31" t="s">
        <v>36</v>
      </c>
      <c r="H14" s="11" t="str">
        <f>IF(OR(B25="",B26=""),"",IF(OR(AND(B25="Bullish",B26="Above"),AND(B25="Bearish",B26="Below")),"Yes","No"))</f>
        <v>Yes</v>
      </c>
    </row>
    <row r="15" spans="1:8">
      <c r="A15" s="40" t="s">
        <v>37</v>
      </c>
      <c r="B15" s="41">
        <v>3</v>
      </c>
      <c r="D15" s="23" t="s">
        <v>38</v>
      </c>
      <c r="E15" s="11">
        <v>4</v>
      </c>
      <c r="G15" s="28" t="s">
        <v>39</v>
      </c>
      <c r="H15" s="17" t="str">
        <f>IF(E22="No Gap","No",IF(OR(AND(E22="Gap Up",OR(B52="Bullish",B17="Bullish Trend")),AND(E22="Gap Down",OR(B52="Bearish",B17="Bearish Trend"))),"Yes","No"))</f>
        <v>No</v>
      </c>
    </row>
    <row r="16" spans="1:8" ht="15.75" thickBot="1">
      <c r="A16" s="39" t="s">
        <v>40</v>
      </c>
      <c r="B16" s="42">
        <v>3</v>
      </c>
      <c r="D16" s="29" t="s">
        <v>41</v>
      </c>
      <c r="E16" s="30" cm="1">
        <f t="array" ref="E16">SUM((E13:E15)/3)</f>
        <v>3.333333333333333</v>
      </c>
      <c r="G16" s="31" t="s">
        <v>42</v>
      </c>
      <c r="H16" s="43">
        <f>G57</f>
        <v>3</v>
      </c>
    </row>
    <row r="17" spans="1:8" ht="15.75" thickBot="1">
      <c r="A17" s="40" t="s">
        <v>43</v>
      </c>
      <c r="B17" s="44" t="s">
        <v>44</v>
      </c>
      <c r="D17" s="34" t="s">
        <v>45</v>
      </c>
      <c r="E17" s="35" t="str">
        <f>IF(AND(UPPER(E19)="NO", UPPER(E20)="YES"), "Yes", "No")</f>
        <v>Yes</v>
      </c>
      <c r="G17" s="28" t="s">
        <v>46</v>
      </c>
      <c r="H17" s="45">
        <f>G58</f>
        <v>2</v>
      </c>
    </row>
    <row r="18" spans="1:8" ht="15.75" thickBot="1">
      <c r="A18" s="46" t="s">
        <v>47</v>
      </c>
      <c r="B18" s="47" t="s">
        <v>48</v>
      </c>
      <c r="D18" s="20" t="s">
        <v>29</v>
      </c>
      <c r="E18" s="48">
        <v>7</v>
      </c>
      <c r="G18" s="31" t="s">
        <v>49</v>
      </c>
      <c r="H18" s="43">
        <f>G59</f>
        <v>3</v>
      </c>
    </row>
    <row r="19" spans="1:8" ht="15.75" thickBot="1">
      <c r="A19" s="18" t="s">
        <v>4</v>
      </c>
      <c r="B19" s="19"/>
      <c r="D19" s="23" t="s">
        <v>50</v>
      </c>
      <c r="E19" s="49" t="s">
        <v>51</v>
      </c>
      <c r="G19" s="28" t="s">
        <v>52</v>
      </c>
      <c r="H19" s="45">
        <f>G60</f>
        <v>1</v>
      </c>
    </row>
    <row r="20" spans="1:8" ht="15.75" thickBot="1">
      <c r="A20" s="50" t="s">
        <v>53</v>
      </c>
      <c r="B20" s="51">
        <v>7598.5</v>
      </c>
      <c r="D20" s="52" t="s">
        <v>54</v>
      </c>
      <c r="E20" s="53" t="s">
        <v>55</v>
      </c>
      <c r="G20" s="31" t="s">
        <v>56</v>
      </c>
      <c r="H20" s="43">
        <f>G61</f>
        <v>2</v>
      </c>
    </row>
    <row r="21" spans="1:8" ht="15.75" thickBot="1">
      <c r="A21" s="54" t="s">
        <v>57</v>
      </c>
      <c r="B21" s="25">
        <v>7605.25</v>
      </c>
      <c r="D21" s="34" t="s">
        <v>58</v>
      </c>
      <c r="E21" s="55"/>
      <c r="G21" s="28" t="s">
        <v>59</v>
      </c>
      <c r="H21" s="45">
        <f>MAX(G57:G61)</f>
        <v>3</v>
      </c>
    </row>
    <row r="22" spans="1:8" ht="15.75" thickBot="1">
      <c r="A22" s="56" t="s">
        <v>60</v>
      </c>
      <c r="B22" s="22">
        <v>7595.5</v>
      </c>
      <c r="D22" s="57" t="s">
        <v>61</v>
      </c>
      <c r="E22" s="58" t="s">
        <v>62</v>
      </c>
      <c r="G22" s="31" t="s">
        <v>63</v>
      </c>
      <c r="H22" s="43" t="str">
        <f>IF(H21&lt;4,"Hybrid / Unclear",IF(COUNTIF(J57:J61,H21)&gt;1,"Hybrid / Unclear",INDEX(A57:A61,MATCH(H21,J57:J61,0))))</f>
        <v>Hybrid / Unclear</v>
      </c>
    </row>
    <row r="23" spans="1:8" ht="15.75" thickBot="1">
      <c r="A23" s="54" t="s">
        <v>64</v>
      </c>
      <c r="B23" s="25">
        <v>7605.25</v>
      </c>
      <c r="D23" s="34" t="s">
        <v>65</v>
      </c>
      <c r="E23" s="35" t="str">
        <f>IFERROR(IF(AND(E24="Yes", E25="Yes", E30&gt;=50%), "Yes", "No"), "No")</f>
        <v>No</v>
      </c>
      <c r="G23" s="28" t="s">
        <v>66</v>
      </c>
      <c r="H23" s="17" t="str">
        <f>IF(H22="Trend Day","VWAP Pullback / ORB / Break &amp; Retest",IF(H22="Range Day","Mean Reversion / Fade Extremes / HOD-LOD Failure",IF(H22="Breakout / Expansion Day","Delayed ORB / HOD-LOD Break / Momentum Continuation",IF(H22="Gap &amp; Go Day","Aggressive ORB / Momentum Continuation / Micro Pullback",IF(H22="Gap &amp; Fade Day","Fade After Failure / Failed Break Retest / VWAP Reversal","Wait, size down, or let structure develop")))))</f>
        <v>Wait, size down, or let structure develop</v>
      </c>
    </row>
    <row r="24" spans="1:8" ht="15.75" thickBot="1">
      <c r="A24" s="56" t="s">
        <v>67</v>
      </c>
      <c r="B24" s="22">
        <v>7595.5</v>
      </c>
      <c r="D24" s="20" t="s">
        <v>68</v>
      </c>
      <c r="E24" s="17" t="s">
        <v>51</v>
      </c>
      <c r="G24" s="59" t="s">
        <v>69</v>
      </c>
      <c r="H24" s="60" t="str">
        <f>IF(H22="Trend Day","Countertrend fades and range trades",IF(H22="Range Day","Breakout chasing and momentum entries",IF(H22="Breakout / Expansion Day","Early guessing and fading first confirmed breakout",IF(H22="Gap &amp; Go Day","Waiting for deep pullbacks or fading the open early",IF(H22="Gap &amp; Fade Day","Trading initial breakout before failure is confirmed","Forcing a setup before the day type is clear")))))</f>
        <v>Forcing a setup before the day type is clear</v>
      </c>
    </row>
    <row r="25" spans="1:8">
      <c r="A25" s="54" t="s">
        <v>70</v>
      </c>
      <c r="B25" s="61" t="s">
        <v>71</v>
      </c>
      <c r="D25" s="23" t="s">
        <v>72</v>
      </c>
      <c r="E25" s="11" t="s">
        <v>51</v>
      </c>
      <c r="H25" t="s">
        <v>73</v>
      </c>
    </row>
    <row r="26" spans="1:8">
      <c r="A26" s="56" t="s">
        <v>74</v>
      </c>
      <c r="B26" s="44" t="s">
        <v>75</v>
      </c>
      <c r="D26" s="20" t="s">
        <v>76</v>
      </c>
      <c r="E26" s="36">
        <v>1</v>
      </c>
    </row>
    <row r="27" spans="1:8">
      <c r="A27" s="54" t="s">
        <v>77</v>
      </c>
      <c r="B27" s="17">
        <v>5</v>
      </c>
      <c r="D27" s="23" t="s">
        <v>78</v>
      </c>
      <c r="E27" s="37">
        <v>1</v>
      </c>
      <c r="G27" t="s">
        <v>170</v>
      </c>
      <c r="H27">
        <v>7608</v>
      </c>
    </row>
    <row r="28" spans="1:8">
      <c r="A28" s="56" t="s">
        <v>79</v>
      </c>
      <c r="B28" s="11">
        <v>6</v>
      </c>
      <c r="D28" s="20" t="s">
        <v>80</v>
      </c>
      <c r="E28" s="36">
        <v>1</v>
      </c>
      <c r="G28" t="s">
        <v>171</v>
      </c>
      <c r="H28">
        <v>7600</v>
      </c>
    </row>
    <row r="29" spans="1:8" ht="15.75" thickBot="1">
      <c r="A29" s="62" t="s">
        <v>81</v>
      </c>
      <c r="B29" s="47" t="s">
        <v>82</v>
      </c>
      <c r="D29" s="23" t="s">
        <v>83</v>
      </c>
      <c r="E29" s="37">
        <v>1</v>
      </c>
      <c r="G29" t="s">
        <v>172</v>
      </c>
      <c r="H29">
        <f>H27-H28</f>
        <v>8</v>
      </c>
    </row>
    <row r="30" spans="1:8" ht="15.75" thickBot="1">
      <c r="A30" s="34" t="s">
        <v>84</v>
      </c>
      <c r="B30" s="63" t="s">
        <v>85</v>
      </c>
      <c r="D30" s="29" t="s">
        <v>86</v>
      </c>
      <c r="E30" s="64" t="str">
        <f>IFERROR(SUM((E28-E29)/(E26-E27)),"0")</f>
        <v>0</v>
      </c>
      <c r="G30" t="s">
        <v>173</v>
      </c>
      <c r="H30">
        <v>5</v>
      </c>
    </row>
    <row r="31" spans="1:8" ht="15.75" thickBot="1">
      <c r="A31" s="57" t="s">
        <v>87</v>
      </c>
      <c r="B31" s="58" t="s">
        <v>51</v>
      </c>
      <c r="D31" s="34" t="s">
        <v>88</v>
      </c>
      <c r="E31" s="35" t="str">
        <f>IF(AND(E32="Yes", E33="Yes"), "Yes", "No")</f>
        <v>No</v>
      </c>
      <c r="G31" t="s">
        <v>174</v>
      </c>
      <c r="H31">
        <f>H29*H30</f>
        <v>40</v>
      </c>
    </row>
    <row r="32" spans="1:8" ht="15.75" thickBot="1">
      <c r="A32" s="14" t="s">
        <v>89</v>
      </c>
      <c r="B32" s="65">
        <f>IFERROR(SUM(B34/B33), "0")</f>
        <v>0.5</v>
      </c>
      <c r="D32" s="20" t="s">
        <v>90</v>
      </c>
      <c r="E32" s="17"/>
      <c r="G32" t="s">
        <v>175</v>
      </c>
      <c r="H32">
        <v>200</v>
      </c>
    </row>
    <row r="33" spans="1:8" ht="15.75" thickBot="1">
      <c r="A33" s="20" t="s">
        <v>91</v>
      </c>
      <c r="B33" s="17">
        <v>18</v>
      </c>
      <c r="D33" s="66" t="s">
        <v>92</v>
      </c>
      <c r="E33" s="60"/>
      <c r="G33" t="s">
        <v>176</v>
      </c>
      <c r="H33" s="107">
        <f>H32/H31</f>
        <v>5</v>
      </c>
    </row>
    <row r="34" spans="1:8" ht="15.75" thickBot="1">
      <c r="A34" s="66" t="s">
        <v>93</v>
      </c>
      <c r="B34" s="60">
        <v>9</v>
      </c>
      <c r="D34" s="67" t="s">
        <v>94</v>
      </c>
      <c r="E34" s="68">
        <v>0</v>
      </c>
    </row>
    <row r="35" spans="1:8" ht="15.75" thickBot="1">
      <c r="A35" s="57" t="s">
        <v>95</v>
      </c>
      <c r="B35" s="69">
        <v>2</v>
      </c>
      <c r="D35" s="34" t="s">
        <v>96</v>
      </c>
      <c r="E35" s="63">
        <v>1</v>
      </c>
    </row>
    <row r="36" spans="1:8" ht="15.75" thickBot="1">
      <c r="A36" s="14" t="s">
        <v>97</v>
      </c>
      <c r="B36" s="15" t="str">
        <f>IFERROR(IF(AND(B37&lt;=50%,B38="Yes"),"Yes","No"),"No")</f>
        <v>No</v>
      </c>
      <c r="D36" s="57" t="s">
        <v>98</v>
      </c>
      <c r="E36" s="70">
        <v>1</v>
      </c>
    </row>
    <row r="37" spans="1:8" ht="15.75" thickBot="1">
      <c r="A37" s="71" t="s">
        <v>99</v>
      </c>
      <c r="B37" s="72">
        <f>IFERROR(SUM(H11/H4),"0")</f>
        <v>0.62903225806451613</v>
      </c>
      <c r="D37" s="73" t="s">
        <v>100</v>
      </c>
      <c r="E37" s="74" t="s">
        <v>55</v>
      </c>
    </row>
    <row r="38" spans="1:8" ht="15.75" thickBot="1">
      <c r="A38" s="66" t="s">
        <v>101</v>
      </c>
      <c r="B38" s="60" t="s">
        <v>55</v>
      </c>
    </row>
    <row r="39" spans="1:8" ht="15.75" thickBot="1"/>
    <row r="40" spans="1:8">
      <c r="A40" s="75" t="s">
        <v>102</v>
      </c>
      <c r="B40" s="76"/>
      <c r="C40" s="76"/>
      <c r="D40" s="76"/>
      <c r="E40" s="76"/>
      <c r="F40" s="76"/>
      <c r="G40" s="76"/>
      <c r="H40" s="77"/>
    </row>
    <row r="41" spans="1:8">
      <c r="A41" s="78" t="s">
        <v>103</v>
      </c>
      <c r="B41" s="79" t="s">
        <v>104</v>
      </c>
      <c r="C41" s="79" t="s">
        <v>105</v>
      </c>
      <c r="D41" s="79" t="s">
        <v>106</v>
      </c>
      <c r="E41" s="79" t="s">
        <v>107</v>
      </c>
      <c r="F41" s="79" t="s">
        <v>108</v>
      </c>
      <c r="G41" s="79" t="s">
        <v>109</v>
      </c>
      <c r="H41" s="80" t="s">
        <v>110</v>
      </c>
    </row>
    <row r="42" spans="1:8" ht="33" customHeight="1">
      <c r="A42" s="81" t="s">
        <v>111</v>
      </c>
      <c r="B42" s="82" t="s">
        <v>112</v>
      </c>
      <c r="C42" s="82" t="s">
        <v>113</v>
      </c>
      <c r="D42" s="82" t="s">
        <v>114</v>
      </c>
      <c r="E42" s="82">
        <f>IF(B17="Bullish",1,IF(B17="Bearish",-1,0))</f>
        <v>-1</v>
      </c>
      <c r="F42" s="82" t="str">
        <f>IF(E42=1,"Bullish",IF(E42=-1,"Bearish","Neutral"))</f>
        <v>Bearish</v>
      </c>
      <c r="G42" s="82">
        <v>0</v>
      </c>
      <c r="H42" s="83">
        <f>IF(G42="",E42,G42)</f>
        <v>0</v>
      </c>
    </row>
    <row r="43" spans="1:8" ht="29.25" customHeight="1">
      <c r="A43" s="84" t="s">
        <v>115</v>
      </c>
      <c r="B43" s="85" t="s">
        <v>116</v>
      </c>
      <c r="C43" s="85" t="s">
        <v>117</v>
      </c>
      <c r="D43" s="85" t="s">
        <v>118</v>
      </c>
      <c r="E43" s="85">
        <f>IF(B14="",0,IF(B14&gt;B7,1,IF(B14&lt;B8,-1,0)))</f>
        <v>0</v>
      </c>
      <c r="F43" s="85" t="str">
        <f>IF(E43=1,"Bullish",IF(E43=-1,"Bearish","Neutral"))</f>
        <v>Neutral</v>
      </c>
      <c r="G43" s="85">
        <v>0</v>
      </c>
      <c r="H43" s="86">
        <f>IF(G43="",E43,G43)</f>
        <v>0</v>
      </c>
    </row>
    <row r="44" spans="1:8" ht="30">
      <c r="A44" s="81" t="s">
        <v>119</v>
      </c>
      <c r="B44" s="82" t="s">
        <v>120</v>
      </c>
      <c r="C44" s="82" t="s">
        <v>121</v>
      </c>
      <c r="D44" s="82" t="s">
        <v>122</v>
      </c>
      <c r="E44" s="82">
        <f>IF(OR(B14="",H4="",H5="",H6=""),0,IF(AND(B14&gt;=H5,(B7-B14)&lt;=0.1*H4),1,IF(AND(B14&lt;=H6,(B14-B8)&lt;=0.1*H4),-1,0)))</f>
        <v>0</v>
      </c>
      <c r="F44" s="82" t="str">
        <f>IF(E44=1,"Bullish",IF(E44=-1,"Bearish","Neutral"))</f>
        <v>Neutral</v>
      </c>
      <c r="G44" s="82">
        <v>0</v>
      </c>
      <c r="H44" s="83">
        <f>IF(G44="",E44,G44)</f>
        <v>0</v>
      </c>
    </row>
    <row r="45" spans="1:8" ht="45" customHeight="1">
      <c r="A45" s="84" t="s">
        <v>123</v>
      </c>
      <c r="B45" s="85" t="s">
        <v>124</v>
      </c>
      <c r="C45" s="85" t="s">
        <v>125</v>
      </c>
      <c r="D45" s="85" t="s">
        <v>126</v>
      </c>
      <c r="E45" s="85">
        <f>IF(OR(H8="",B13="",B14="",B15="",B16=""),0,IF(AND(H8&gt;=0.1,B14&gt;B13,B15&gt;=4),1,IF(AND(H8&gt;=0.1,B14&lt;B13,B16&gt;=4),-1,0)))</f>
        <v>0</v>
      </c>
      <c r="F45" s="85" t="str">
        <f>IF(E45=1,"Bullish",IF(E45=-1,"Bearish","Neutral"))</f>
        <v>Neutral</v>
      </c>
      <c r="G45" s="85">
        <v>0</v>
      </c>
      <c r="H45" s="86">
        <f>IF(G45="",E45,G45)</f>
        <v>0</v>
      </c>
    </row>
    <row r="46" spans="1:8" ht="33" customHeight="1" thickBot="1">
      <c r="A46" s="87" t="s">
        <v>127</v>
      </c>
      <c r="B46" s="88" t="s">
        <v>128</v>
      </c>
      <c r="C46" s="88" t="s">
        <v>129</v>
      </c>
      <c r="D46" s="88" t="s">
        <v>130</v>
      </c>
      <c r="E46" s="88">
        <f>IF(B18="Bullish",1,IF(B18="Bearish",-1,0))</f>
        <v>0</v>
      </c>
      <c r="F46" s="88" t="str">
        <f>IF(E46=1,"Bullish",IF(E46=-1,"Bearish","Neutral"))</f>
        <v>Neutral</v>
      </c>
      <c r="G46" s="88">
        <v>0</v>
      </c>
      <c r="H46" s="89">
        <f>IF(G46="",E46,G46)</f>
        <v>0</v>
      </c>
    </row>
    <row r="47" spans="1:8" ht="15.75" thickBot="1"/>
    <row r="48" spans="1:8" ht="15.75" thickBot="1">
      <c r="A48" s="90" t="s">
        <v>131</v>
      </c>
      <c r="B48" s="4"/>
      <c r="C48" s="4"/>
      <c r="D48" s="5"/>
    </row>
    <row r="49" spans="1:12">
      <c r="A49" s="91" t="s">
        <v>132</v>
      </c>
      <c r="B49" s="92">
        <f>SUM(E42:E46)</f>
        <v>-1</v>
      </c>
      <c r="C49" s="93"/>
      <c r="D49" s="94"/>
    </row>
    <row r="50" spans="1:12">
      <c r="A50" s="91" t="s">
        <v>133</v>
      </c>
      <c r="B50" s="92" t="str">
        <f>IF(B49&gt;=3,"Bullish",IF(B49&lt;=-3,"Bearish","Neutral"))</f>
        <v>Neutral</v>
      </c>
      <c r="C50" s="93"/>
      <c r="D50" s="94"/>
    </row>
    <row r="51" spans="1:12">
      <c r="A51" s="91" t="s">
        <v>134</v>
      </c>
      <c r="B51" s="92">
        <f>SUM(H42:H46)</f>
        <v>0</v>
      </c>
      <c r="C51" s="93"/>
      <c r="D51" s="94"/>
    </row>
    <row r="52" spans="1:12">
      <c r="A52" s="91" t="s">
        <v>135</v>
      </c>
      <c r="B52" s="92" t="str">
        <f>IF(B51&gt;=3,"Bullish",IF(B51&lt;=-3,"Bearish","Neutral"))</f>
        <v>Neutral</v>
      </c>
      <c r="C52" s="93"/>
      <c r="D52" s="94"/>
    </row>
    <row r="53" spans="1:12" ht="15.75" thickBot="1">
      <c r="A53" s="95" t="s">
        <v>136</v>
      </c>
      <c r="B53" s="96" t="str">
        <f>IF(B52="Bullish","Trend continuation / breakout setups only",IF(B52="Bearish","Short-side continuation / breakdown setups only","Reversal at extremes or no-trade if structure is poor"))</f>
        <v>Reversal at extremes or no-trade if structure is poor</v>
      </c>
      <c r="C53" s="96"/>
      <c r="D53" s="97"/>
    </row>
    <row r="55" spans="1:12">
      <c r="A55" s="98" t="s">
        <v>137</v>
      </c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</row>
    <row r="56" spans="1:12" ht="45">
      <c r="A56" s="99" t="s">
        <v>138</v>
      </c>
      <c r="B56" s="99" t="s">
        <v>139</v>
      </c>
      <c r="C56" s="99" t="s">
        <v>140</v>
      </c>
      <c r="D56" s="99" t="s">
        <v>141</v>
      </c>
      <c r="E56" s="99" t="s">
        <v>142</v>
      </c>
      <c r="F56" s="99" t="s">
        <v>143</v>
      </c>
      <c r="G56" s="99" t="s">
        <v>107</v>
      </c>
      <c r="H56" s="99" t="s">
        <v>144</v>
      </c>
      <c r="I56" s="99" t="s">
        <v>109</v>
      </c>
      <c r="J56" s="99" t="s">
        <v>110</v>
      </c>
      <c r="K56" s="99" t="s">
        <v>145</v>
      </c>
      <c r="L56" s="99" t="s">
        <v>69</v>
      </c>
    </row>
    <row r="57" spans="1:12">
      <c r="A57" s="100" t="s">
        <v>146</v>
      </c>
      <c r="B57" s="101">
        <f>IF(OR($B$29="Bullish Trend",$B$29="Bearish Trend"),1,0)</f>
        <v>1</v>
      </c>
      <c r="C57" s="101">
        <f>IF($B$31="Yes",1,0)</f>
        <v>0</v>
      </c>
      <c r="D57" s="101">
        <f>IF(AND($B$28&lt;&gt;"",$B$28&gt;=3,OR(AND($B$25="Bullish",$B$26="Above"),AND($B$25="Bearish",$B$26="Below"))),1,0)</f>
        <v>1</v>
      </c>
      <c r="E57" s="101">
        <f>IF($B$30="No",1,0)</f>
        <v>0</v>
      </c>
      <c r="F57" s="101">
        <f>IF(AND($B$32&lt;&gt;"",$B$35&lt;&gt;"",$B$32&lt;=50,$B$35&lt;=3),1,0)</f>
        <v>1</v>
      </c>
      <c r="G57" s="102">
        <f>SUM(B57:F57)</f>
        <v>3</v>
      </c>
      <c r="H57" s="101" t="str">
        <f>IF(G57&gt;=4,"Valid",IF(G57=3,"Possible","Unclear"))</f>
        <v>Possible</v>
      </c>
      <c r="I57" s="101"/>
      <c r="J57" s="102">
        <f>IF(I57="",G57,I57)</f>
        <v>3</v>
      </c>
      <c r="K57" t="s">
        <v>147</v>
      </c>
      <c r="L57" t="s">
        <v>148</v>
      </c>
    </row>
    <row r="58" spans="1:12">
      <c r="A58" s="100" t="s">
        <v>149</v>
      </c>
      <c r="B58" s="101">
        <f>IF(OR($E$17="No",$E$36&gt;=1),1,0)</f>
        <v>1</v>
      </c>
      <c r="C58" s="101">
        <f>IF(AND($B$27&lt;&gt;"",$B$27&gt;=3),1,0)</f>
        <v>1</v>
      </c>
      <c r="D58" s="101">
        <f>IF(AND($E$34&lt;&gt;"",$E$34&gt;=2),1,0)</f>
        <v>0</v>
      </c>
      <c r="E58" s="101">
        <f>IF(AND($E$35&lt;&gt;"",$E$35&gt;=2),1,0)</f>
        <v>0</v>
      </c>
      <c r="F58" s="101">
        <f>IF(AND($E$36&lt;&gt;"",$E$36&gt;=2),1,0)</f>
        <v>0</v>
      </c>
      <c r="G58" s="102">
        <f>SUM(B58:F58)</f>
        <v>2</v>
      </c>
      <c r="H58" s="101" t="str">
        <f>IF(G58&gt;=4,"Valid",IF(G58=3,"Possible","Unclear"))</f>
        <v>Unclear</v>
      </c>
      <c r="I58" s="101"/>
      <c r="J58" s="102">
        <f>IF(I58="",G58,I58)</f>
        <v>2</v>
      </c>
      <c r="K58" t="s">
        <v>150</v>
      </c>
      <c r="L58" t="s">
        <v>151</v>
      </c>
    </row>
    <row r="59" spans="1:12">
      <c r="A59" s="100" t="s">
        <v>152</v>
      </c>
      <c r="B59" s="101">
        <f>IF($B$36="Yes",1,0)</f>
        <v>0</v>
      </c>
      <c r="C59" s="101">
        <f>IF($E$17="Yes",1,0)</f>
        <v>1</v>
      </c>
      <c r="D59" s="101">
        <f>IF($E$5="Yes",1,0)</f>
        <v>0</v>
      </c>
      <c r="E59" s="101">
        <f>IF($E$11="Yes",1,0)</f>
        <v>1</v>
      </c>
      <c r="F59" s="101">
        <f>IF($E$37="Yes",1,0)</f>
        <v>1</v>
      </c>
      <c r="G59" s="102">
        <f>SUM(B59:F59)</f>
        <v>3</v>
      </c>
      <c r="H59" s="101" t="str">
        <f>IF(G59&gt;=4,"Valid",IF(G59=3,"Possible","Unclear"))</f>
        <v>Possible</v>
      </c>
      <c r="I59" s="101"/>
      <c r="J59" s="102">
        <f>IF(I59="",G59,I59)</f>
        <v>3</v>
      </c>
      <c r="K59" t="s">
        <v>153</v>
      </c>
      <c r="L59" t="s">
        <v>154</v>
      </c>
    </row>
    <row r="60" spans="1:12">
      <c r="A60" s="100" t="s">
        <v>155</v>
      </c>
      <c r="B60" s="101">
        <f>IF(OR($E$22="Gap Up",$E$22="Gap Down"),1,0)</f>
        <v>1</v>
      </c>
      <c r="C60" s="101">
        <f>IF($H$15="Yes",1,0)</f>
        <v>0</v>
      </c>
      <c r="D60" s="101">
        <f>IF(AND($E$17="Yes",$E$21="No"),1,0)</f>
        <v>0</v>
      </c>
      <c r="E60" s="101">
        <f>IF($E$21="No",1,0)</f>
        <v>0</v>
      </c>
      <c r="F60" s="101">
        <f>IF(OR(AND($E$22="Gap Up",$B$25="Bullish",$B$26="Above"),AND($E$22="Gap Down",$B$25="Bearish",$B$26="Below")),1,0)</f>
        <v>0</v>
      </c>
      <c r="G60" s="102">
        <f>SUM(B60:F60)</f>
        <v>1</v>
      </c>
      <c r="H60" s="101" t="str">
        <f>IF(G60&gt;=4,"Valid",IF(G60=3,"Possible","Unclear"))</f>
        <v>Unclear</v>
      </c>
      <c r="I60" s="101"/>
      <c r="J60" s="102">
        <f>IF(I60="",G60,I60)</f>
        <v>1</v>
      </c>
      <c r="K60" t="s">
        <v>156</v>
      </c>
      <c r="L60" t="s">
        <v>157</v>
      </c>
    </row>
    <row r="61" spans="1:12">
      <c r="A61" s="100" t="s">
        <v>158</v>
      </c>
      <c r="B61" s="101">
        <f>IF(OR($E$22="Gap Up",$E$22="Gap Down"),1,0)</f>
        <v>1</v>
      </c>
      <c r="C61" s="101">
        <f>IF(AND($E$17="No",$E$21="Yes"),1,0)</f>
        <v>0</v>
      </c>
      <c r="D61" s="101">
        <f>IF($E$21="Yes",1,0)</f>
        <v>0</v>
      </c>
      <c r="E61" s="101">
        <f>IF(AND($E$23="Yes",$E$31="Yes"),1,0)</f>
        <v>0</v>
      </c>
      <c r="F61" s="101">
        <f>IF(OR(AND($E$22="Gap Up",$B$25="Bearish",$B$26="Below"),AND($E$22="Gap Down",$B$25="Bullish",$B$26="Above")),1,0)</f>
        <v>1</v>
      </c>
      <c r="G61" s="102">
        <f>SUM(B61:F61)</f>
        <v>2</v>
      </c>
      <c r="H61" s="101" t="str">
        <f>IF(G61&gt;=4,"Valid",IF(G61=3,"Possible","Unclear"))</f>
        <v>Unclear</v>
      </c>
      <c r="I61" s="101"/>
      <c r="J61" s="102">
        <f>IF(I61="",G61,I61)</f>
        <v>2</v>
      </c>
      <c r="K61" t="s">
        <v>159</v>
      </c>
      <c r="L61" t="s">
        <v>160</v>
      </c>
    </row>
    <row r="64" spans="1:12">
      <c r="A64" s="103" t="s">
        <v>161</v>
      </c>
      <c r="B64" s="2"/>
      <c r="D64" s="103" t="s">
        <v>162</v>
      </c>
      <c r="E64" s="2"/>
      <c r="F64" s="2"/>
    </row>
    <row r="65" spans="1:5">
      <c r="A65" s="104" t="s">
        <v>59</v>
      </c>
      <c r="B65" s="105">
        <f>H21</f>
        <v>3</v>
      </c>
      <c r="D65" s="106" t="s">
        <v>138</v>
      </c>
      <c r="E65" s="106" t="s">
        <v>163</v>
      </c>
    </row>
    <row r="66" spans="1:5" ht="165">
      <c r="A66" s="104" t="s">
        <v>63</v>
      </c>
      <c r="B66" s="105" t="str">
        <f>H22</f>
        <v>Hybrid / Unclear</v>
      </c>
      <c r="D66" t="s">
        <v>146</v>
      </c>
      <c r="E66" s="100" t="s">
        <v>164</v>
      </c>
    </row>
    <row r="67" spans="1:5" ht="150">
      <c r="A67" s="104" t="s">
        <v>66</v>
      </c>
      <c r="B67" s="100" t="str">
        <f>H23</f>
        <v>Wait, size down, or let structure develop</v>
      </c>
      <c r="D67" t="s">
        <v>149</v>
      </c>
      <c r="E67" s="100" t="s">
        <v>165</v>
      </c>
    </row>
    <row r="68" spans="1:5" ht="120">
      <c r="A68" s="104" t="s">
        <v>69</v>
      </c>
      <c r="B68" s="100" t="str">
        <f>H24</f>
        <v>Forcing a setup before the day type is clear</v>
      </c>
      <c r="D68" t="s">
        <v>152</v>
      </c>
      <c r="E68" s="100" t="s">
        <v>166</v>
      </c>
    </row>
    <row r="69" spans="1:5" ht="165">
      <c r="A69" s="104" t="s">
        <v>167</v>
      </c>
      <c r="B69" s="100" t="str">
        <f>IF(B66="Trend Day","Wait for a shallow pullback or break/retest instead of forcing the first candle.",IF(B66="Range Day","Sell near the top of range and buy near the bottom only after rejection.",IF(B66="Breakout / Expansion Day","Do not enter early. Wait for the break to prove itself with hold and follow-through.",IF(B66="Gap &amp; Go Day","Be decisive. These moves often do not offer deep pullbacks.",IF(B66="Gap &amp; Fade Day","Wait for failure, reclaim, then continuation before acting.","If unclear, trade smaller or wait for cleaner structure.")))))</f>
        <v>If unclear, trade smaller or wait for cleaner structure.</v>
      </c>
      <c r="D69" t="s">
        <v>155</v>
      </c>
      <c r="E69" s="100" t="s">
        <v>168</v>
      </c>
    </row>
    <row r="70" spans="1:5" ht="165">
      <c r="D70" t="s">
        <v>158</v>
      </c>
      <c r="E70" s="100" t="s">
        <v>169</v>
      </c>
    </row>
  </sheetData>
  <mergeCells count="13">
    <mergeCell ref="A19:B19"/>
    <mergeCell ref="A40:H40"/>
    <mergeCell ref="A48:D48"/>
    <mergeCell ref="B53:D53"/>
    <mergeCell ref="A55:L55"/>
    <mergeCell ref="A64:B64"/>
    <mergeCell ref="D64:F64"/>
    <mergeCell ref="A1:H1"/>
    <mergeCell ref="A3:E3"/>
    <mergeCell ref="G3:H3"/>
    <mergeCell ref="D4:E4"/>
    <mergeCell ref="A6:B6"/>
    <mergeCell ref="A12:B12"/>
  </mergeCells>
  <conditionalFormatting sqref="B50">
    <cfRule type="expression" dxfId="16" priority="14">
      <formula>INDIRECT(ADDRESS(ROW(),COLUMN()))="Bullish"</formula>
    </cfRule>
    <cfRule type="expression" dxfId="15" priority="15">
      <formula>INDIRECT(ADDRESS(ROW(),COLUMN()))="Neutral"</formula>
    </cfRule>
    <cfRule type="expression" dxfId="14" priority="16">
      <formula>INDIRECT(ADDRESS(ROW(),COLUMN()))="Bearish"</formula>
    </cfRule>
  </conditionalFormatting>
  <conditionalFormatting sqref="B52">
    <cfRule type="expression" dxfId="13" priority="17">
      <formula>INDIRECT(ADDRESS(ROW(),COLUMN()))="Bullish"</formula>
    </cfRule>
    <cfRule type="expression" dxfId="12" priority="18">
      <formula>INDIRECT(ADDRESS(ROW(),COLUMN()))="Neutral"</formula>
    </cfRule>
    <cfRule type="expression" dxfId="11" priority="19">
      <formula>INDIRECT(ADDRESS(ROW(),COLUMN()))="Bearish"</formula>
    </cfRule>
  </conditionalFormatting>
  <conditionalFormatting sqref="B66">
    <cfRule type="expression" dxfId="10" priority="6">
      <formula>B66="Hybrid / Unclear"</formula>
    </cfRule>
    <cfRule type="expression" dxfId="9" priority="7">
      <formula>AND(B66&lt;&gt;"",B66&lt;&gt;"Hybrid / Unclear")</formula>
    </cfRule>
  </conditionalFormatting>
  <conditionalFormatting sqref="E42:E46">
    <cfRule type="expression" dxfId="8" priority="8">
      <formula>INDIRECT(ADDRESS(ROW(),COLUMN()))=1</formula>
    </cfRule>
    <cfRule type="expression" dxfId="7" priority="9">
      <formula>INDIRECT(ADDRESS(ROW(),COLUMN()))=0</formula>
    </cfRule>
    <cfRule type="expression" dxfId="6" priority="10">
      <formula>INDIRECT(ADDRESS(ROW(),COLUMN()))=-1</formula>
    </cfRule>
  </conditionalFormatting>
  <conditionalFormatting sqref="G57:G61">
    <cfRule type="colorScale" priority="1">
      <colorScale>
        <cfvo type="min"/>
        <cfvo type="percentile" val="50"/>
        <cfvo type="max"/>
        <color rgb="FFFECACA"/>
        <color rgb="FFFEF3C7"/>
        <color rgb="FFBBF7D0"/>
      </colorScale>
    </cfRule>
  </conditionalFormatting>
  <conditionalFormatting sqref="H42:H46">
    <cfRule type="expression" dxfId="5" priority="11">
      <formula>INDIRECT(ADDRESS(ROW(),COLUMN()))=1</formula>
    </cfRule>
    <cfRule type="expression" dxfId="4" priority="12">
      <formula>INDIRECT(ADDRESS(ROW(),COLUMN()))=0</formula>
    </cfRule>
    <cfRule type="expression" dxfId="3" priority="13">
      <formula>INDIRECT(ADDRESS(ROW(),COLUMN()))=-1</formula>
    </cfRule>
  </conditionalFormatting>
  <conditionalFormatting sqref="H57:H61">
    <cfRule type="expression" dxfId="2" priority="3">
      <formula>H57="Valid"</formula>
    </cfRule>
    <cfRule type="expression" dxfId="1" priority="4">
      <formula>H57="Possible"</formula>
    </cfRule>
    <cfRule type="expression" dxfId="0" priority="5">
      <formula>H57="Unclear"</formula>
    </cfRule>
  </conditionalFormatting>
  <conditionalFormatting sqref="J57:J61">
    <cfRule type="colorScale" priority="2">
      <colorScale>
        <cfvo type="min"/>
        <cfvo type="percentile" val="50"/>
        <cfvo type="max"/>
        <color rgb="FFFECACA"/>
        <color rgb="FFFEF3C7"/>
        <color rgb="FFBBF7D0"/>
      </colorScale>
    </cfRule>
  </conditionalFormatting>
  <dataValidations count="9">
    <dataValidation type="list" sqref="I57:I61" xr:uid="{7BE315BD-727D-4ABA-B1D5-15D70458C77B}">
      <formula1>",0,1,2,3,4,5"</formula1>
    </dataValidation>
    <dataValidation type="list" sqref="G42:G46" xr:uid="{689A1A4F-982B-44B4-B028-F0089AC65062}">
      <formula1>"-1,0,1"</formula1>
    </dataValidation>
    <dataValidation type="list" sqref="E22" xr:uid="{6BBC40C4-EA00-4058-9251-1408D1E9D9D7}">
      <formula1>"Gap Up,No Gap,Gap Down"</formula1>
    </dataValidation>
    <dataValidation type="list" sqref="B30" xr:uid="{EE21AE1D-DC50-4094-BE6C-EB7D8E044DB4}">
      <formula1>"No,One Touch,Multiple"</formula1>
    </dataValidation>
    <dataValidation type="list" sqref="E37 B38 E19:E21 E24:E25 E32:E33 B31" xr:uid="{59AB5CAE-A122-40DA-94E9-272501183843}">
      <formula1>"Yes,No"</formula1>
    </dataValidation>
    <dataValidation type="list" sqref="B29" xr:uid="{54447BA9-28F5-461C-B54C-86F662732AB5}">
      <formula1>"Bullish Trend,Mixed,Bearish Trend"</formula1>
    </dataValidation>
    <dataValidation type="list" sqref="B26" xr:uid="{6B93651E-A88B-401C-8A28-F068409ABB7F}">
      <formula1>"Above,Choppy,Below"</formula1>
    </dataValidation>
    <dataValidation type="list" sqref="B25" xr:uid="{890E45D7-AD30-4625-84FB-460B50478B91}">
      <formula1>"Bullish,Flat,Bearish"</formula1>
    </dataValidation>
    <dataValidation type="list" sqref="B17:B18" xr:uid="{70306B35-9FB1-4580-87C2-E0084817EC2A}">
      <formula1>"Bullish,Neutral,Bearish"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Inputs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Baehr</dc:creator>
  <cp:lastModifiedBy>Michael Baehr</cp:lastModifiedBy>
  <dcterms:created xsi:type="dcterms:W3CDTF">2026-06-03T01:06:11Z</dcterms:created>
  <dcterms:modified xsi:type="dcterms:W3CDTF">2026-06-03T01:06:47Z</dcterms:modified>
</cp:coreProperties>
</file>